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485" windowHeight="9315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comments1.xml><?xml version="1.0" encoding="utf-8"?>
<comments xmlns="http://schemas.openxmlformats.org/spreadsheetml/2006/main">
  <authors>
    <author>Hans Christian Spies</author>
  </authors>
  <commentList>
    <comment ref="E47" authorId="0">
      <text>
        <r>
          <rPr>
            <b/>
            <sz val="8"/>
            <rFont val="Tahoma"/>
            <family val="0"/>
          </rPr>
          <t>Kilometersatser for indkomståret 2015:
0 - 24 km inkl.: intet fradrag
25 - 120 km inkl.: 2,05 kr. pr. km 
over 120 km: 1,03 kr. pr. km</t>
        </r>
      </text>
    </comment>
    <comment ref="F47" authorId="0">
      <text>
        <r>
          <rPr>
            <b/>
            <sz val="8"/>
            <rFont val="Tahoma"/>
            <family val="0"/>
          </rPr>
          <t>Kilometersatser for indkomståret 2015:
0 - 24 km inkl.: intet fradrag
25 - 120 km inkl.: 2,05 kr. pr. km 
over 120 km: 1,03 kr. pr. km</t>
        </r>
      </text>
    </comment>
  </commentList>
</comments>
</file>

<file path=xl/sharedStrings.xml><?xml version="1.0" encoding="utf-8"?>
<sst xmlns="http://schemas.openxmlformats.org/spreadsheetml/2006/main" count="334" uniqueCount="260">
  <si>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</si>
  <si>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</si>
  <si>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</si>
  <si>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</si>
  <si>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</si>
  <si>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</si>
  <si>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</si>
  <si>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</si>
  <si>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</si>
  <si>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</si>
  <si>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</si>
  <si>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</si>
  <si>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</si>
  <si>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</si>
  <si>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</si>
  <si>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</si>
  <si>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</si>
  <si>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</si>
  <si>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</si>
  <si>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</si>
  <si>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</si>
  <si>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</si>
  <si>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</si>
  <si>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</si>
  <si>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</si>
  <si>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</si>
  <si>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</si>
  <si>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</si>
  <si>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</si>
  <si>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</si>
  <si>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</si>
  <si>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</si>
  <si>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</si>
  <si>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</si>
  <si>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</si>
  <si>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</si>
  <si>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</si>
  <si>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</si>
  <si>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</si>
  <si>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</si>
  <si>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</si>
  <si>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</si>
  <si>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</si>
  <si>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</si>
  <si>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</si>
  <si>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</si>
  <si>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</si>
  <si>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</si>
  <si>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</si>
  <si>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</si>
  <si>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</si>
  <si>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</si>
  <si>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</si>
  <si>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</si>
  <si>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</si>
  <si>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</si>
  <si>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</si>
  <si>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</si>
  <si>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</si>
  <si>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</si>
  <si>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</si>
  <si>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</si>
  <si>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</si>
  <si>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</si>
  <si>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</si>
  <si>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</si>
  <si>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</si>
  <si>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</si>
  <si>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</si>
  <si>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</si>
  <si>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</si>
  <si>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</si>
  <si>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</si>
  <si>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</si>
  <si>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</si>
  <si>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</si>
  <si>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</si>
  <si>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</si>
  <si>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</si>
  <si>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</si>
  <si>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</si>
  <si>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</si>
  <si>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</si>
  <si>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</si>
  <si>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</si>
  <si>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</si>
  <si>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</si>
  <si>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</si>
  <si>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</si>
  <si>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</si>
  <si>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</si>
  <si>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</si>
  <si>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</si>
  <si>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</si>
  <si>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</si>
  <si>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</si>
  <si>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</si>
  <si>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</si>
  <si>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</si>
  <si>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</si>
  <si>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</si>
  <si>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</si>
  <si>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</si>
  <si>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</si>
  <si>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</si>
  <si>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</si>
  <si>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</si>
  <si>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</si>
  <si>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</si>
  <si>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</si>
  <si>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</si>
  <si>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</si>
  <si>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</si>
  <si>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</si>
  <si>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</si>
  <si>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</si>
  <si>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</si>
  <si>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</si>
  <si>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</si>
  <si>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</si>
  <si>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</si>
  <si>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</si>
  <si>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</si>
  <si>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</si>
  <si>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</si>
  <si>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</si>
  <si>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</si>
  <si>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</si>
  <si>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</si>
  <si>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</si>
  <si>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</si>
  <si>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</si>
  <si>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</si>
  <si>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</si>
  <si>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</si>
  <si>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</si>
  <si>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</si>
  <si>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</si>
  <si>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</si>
  <si>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</si>
  <si>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</si>
  <si>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</si>
  <si>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</si>
  <si>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</si>
  <si>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</si>
  <si>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</si>
  <si>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</si>
  <si>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</si>
  <si>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</si>
  <si>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</si>
  <si>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</si>
  <si>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</si>
  <si>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</si>
  <si>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</si>
  <si>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</si>
  <si>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</si>
  <si>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</si>
  <si>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</si>
  <si>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</si>
  <si>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</si>
  <si>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</si>
  <si>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</si>
  <si>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</si>
  <si>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</si>
  <si>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</si>
  <si>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</si>
  <si>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</si>
  <si>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</si>
  <si>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</si>
  <si>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</si>
  <si>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</si>
  <si>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</si>
  <si>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</si>
  <si>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</si>
  <si>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</si>
  <si>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</si>
  <si>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</si>
  <si>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</si>
  <si>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</si>
  <si>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</si>
  <si>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</si>
  <si>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</si>
  <si>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</si>
  <si>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</si>
  <si>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</si>
  <si>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</si>
  <si>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</si>
  <si>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</si>
  <si>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</si>
  <si>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</si>
  <si>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</si>
  <si>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</si>
  <si>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</si>
  <si>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</si>
  <si>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</si>
  <si>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</si>
  <si>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</si>
  <si>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</si>
  <si>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</si>
  <si>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</si>
  <si>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</si>
  <si>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</si>
  <si>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</si>
  <si>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</si>
  <si>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</si>
  <si>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</si>
  <si>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</si>
  <si>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</si>
  <si>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</si>
  <si>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</si>
  <si>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</si>
  <si>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</si>
  <si>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</si>
  <si>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</si>
  <si>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</si>
  <si>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</si>
  <si>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</si>
  <si>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</si>
  <si>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</si>
  <si>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</si>
  <si>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</si>
  <si>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</si>
  <si>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</si>
  <si>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</si>
  <si>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</si>
  <si>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</si>
  <si>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</si>
  <si>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</si>
  <si>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</si>
  <si>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</si>
  <si>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</si>
  <si>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</si>
  <si>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</si>
  <si>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</si>
  <si>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</si>
  <si>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Ida Tesdorpfsvej 4 B, 1. tv.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</si>
  <si>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</si>
  <si>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</si>
  <si>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</si>
  <si>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</si>
  <si>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</si>
  <si>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</si>
  <si>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</si>
  <si>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</si>
  <si>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2014</t>
  </si>
  <si>
    <t>Dagpenge mv., SU og anden personlig indkomst, hvoraf der ikke skal betales AMB</t>
  </si>
  <si>
    <t>Pension mv., hvoraf der skal betales udligningsskat</t>
  </si>
  <si>
    <t>Furesø</t>
  </si>
  <si>
    <t>Skatteberegning 2015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</si>
  <si>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</si>
  <si>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</si>
  <si>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</si>
  <si>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</si>
  <si>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</si>
  <si>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Kilde: Skatteministeriet, 6/12-2014</t>
  </si>
  <si>
    <t>Bopælskommune pr. 5. september 2014</t>
  </si>
  <si>
    <t>2015</t>
  </si>
  <si>
    <t>offentliggøres i 2015</t>
  </si>
  <si>
    <t>Hans Chr. Spies</t>
  </si>
  <si>
    <t>spies@tax.dk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</si>
</sst>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0" fillId="7" borderId="0" xfId="0" applyFont="1" applyFill="1" applyAlignment="1">
      <alignment wrapText="1"/>
    </xf>
    <xf numFmtId="0" fontId="9" fillId="0" borderId="0" xfId="0" applyFont="1" applyAlignment="1">
      <alignment/>
    </xf>
    <xf numFmtId="0" fontId="12" fillId="7" borderId="0" xfId="0" applyFont="1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3.7109375" style="0" customWidth="1"/>
    <col min="18" max="19" width="0" style="0" hidden="1" customWidth="1"/>
  </cols>
  <sheetData>
    <row r="1" spans="1:19" ht="12.75">
      <c r="A1" s="45"/>
      <c r="C1" s="19">
        <v>42217</v>
      </c>
      <c r="I1" s="82" t="s">
        <v>159</v>
      </c>
      <c r="J1" s="83"/>
      <c r="K1" s="83"/>
      <c r="L1" s="83"/>
      <c r="M1" s="83"/>
      <c r="O1" s="82" t="s">
        <v>160</v>
      </c>
      <c r="P1" s="82"/>
      <c r="R1" t="b">
        <v>1</v>
      </c>
      <c r="S1" t="s">
        <v>3</v>
      </c>
    </row>
    <row r="2" spans="3:19" ht="20.25">
      <c r="C2" s="88" t="s">
        <v>248</v>
      </c>
      <c r="D2" s="88"/>
      <c r="E2" s="89"/>
      <c r="F2" s="89"/>
      <c r="R2" t="b">
        <v>0</v>
      </c>
      <c r="S2" t="s">
        <v>4</v>
      </c>
    </row>
    <row r="3" spans="3:15" ht="12.75">
      <c r="C3" s="80" t="s">
        <v>193</v>
      </c>
      <c r="D3" s="80"/>
      <c r="E3" s="80"/>
      <c r="F3" s="80"/>
      <c r="I3" s="28">
        <v>2015</v>
      </c>
      <c r="O3" s="28">
        <v>2015</v>
      </c>
    </row>
    <row r="4" spans="3:16" ht="12.75">
      <c r="C4" s="81"/>
      <c r="D4" s="81"/>
      <c r="E4" s="81"/>
      <c r="F4" s="81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249</v>
      </c>
      <c r="P4">
        <v>8</v>
      </c>
    </row>
    <row r="5" spans="3:17" ht="14.2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8.08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4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s="27" t="s">
        <v>13</v>
      </c>
      <c r="J8" s="27">
        <v>25.1</v>
      </c>
      <c r="K8" s="27">
        <v>0.85</v>
      </c>
      <c r="L8" s="27">
        <v>0.23</v>
      </c>
      <c r="M8" s="27">
        <v>33.94</v>
      </c>
      <c r="O8" t="s">
        <v>164</v>
      </c>
      <c r="P8" s="67">
        <v>459200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s="27" t="s">
        <v>14</v>
      </c>
      <c r="J9" s="27">
        <v>24.3</v>
      </c>
      <c r="K9" s="27">
        <v>0.58</v>
      </c>
      <c r="L9" s="27">
        <v>0</v>
      </c>
      <c r="M9" s="27">
        <v>22.8</v>
      </c>
      <c r="O9" t="s">
        <v>165</v>
      </c>
      <c r="P9" s="6">
        <v>51.95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s="27" t="s">
        <v>15</v>
      </c>
      <c r="J10" s="27">
        <v>26.1</v>
      </c>
      <c r="K10" s="27">
        <v>0.95</v>
      </c>
      <c r="L10" s="27">
        <v>1.23</v>
      </c>
      <c r="M10" s="27">
        <v>22.12</v>
      </c>
      <c r="O10" t="s">
        <v>166</v>
      </c>
      <c r="P10" s="6">
        <v>42</v>
      </c>
    </row>
    <row r="11" spans="3:16" ht="12.75">
      <c r="C11" s="1"/>
      <c r="D11" s="1"/>
      <c r="E11" s="1"/>
      <c r="F11" s="1"/>
      <c r="I11" s="27" t="s">
        <v>16</v>
      </c>
      <c r="J11" s="27">
        <v>25.5</v>
      </c>
      <c r="K11" s="27">
        <v>0.72</v>
      </c>
      <c r="L11" s="27">
        <v>0.63</v>
      </c>
      <c r="M11" s="27">
        <v>28.89</v>
      </c>
      <c r="O11" t="s">
        <v>167</v>
      </c>
      <c r="P11" s="67">
        <v>32600</v>
      </c>
    </row>
    <row r="12" spans="3:16" ht="12.75">
      <c r="C12" s="4" t="s">
        <v>255</v>
      </c>
      <c r="D12" s="4"/>
      <c r="E12" s="20" t="s">
        <v>13</v>
      </c>
      <c r="F12" s="1"/>
      <c r="I12" s="27" t="s">
        <v>17</v>
      </c>
      <c r="J12" s="27">
        <v>25.2</v>
      </c>
      <c r="K12" s="27">
        <v>0.89</v>
      </c>
      <c r="L12" s="27">
        <v>0.33</v>
      </c>
      <c r="M12" s="27">
        <v>20.48</v>
      </c>
      <c r="O12" t="s">
        <v>168</v>
      </c>
      <c r="P12" s="67">
        <v>43400</v>
      </c>
    </row>
    <row r="13" spans="3:16" ht="12.75">
      <c r="C13" s="7" t="s">
        <v>141</v>
      </c>
      <c r="D13" s="7"/>
      <c r="E13" s="7">
        <f>VLOOKUP(E12,I8:M105,2,FALSE)</f>
        <v>25.1</v>
      </c>
      <c r="F13" s="1"/>
      <c r="I13" s="27" t="s">
        <v>18</v>
      </c>
      <c r="J13" s="27">
        <v>26.2</v>
      </c>
      <c r="K13" s="27">
        <v>0.93</v>
      </c>
      <c r="L13" s="27">
        <v>1.33</v>
      </c>
      <c r="M13" s="27">
        <v>33.41</v>
      </c>
      <c r="O13" t="s">
        <v>169</v>
      </c>
      <c r="P13" s="67">
        <v>0</v>
      </c>
    </row>
    <row r="14" spans="3:16" ht="12.75">
      <c r="C14" s="7" t="s">
        <v>109</v>
      </c>
      <c r="D14" s="7"/>
      <c r="E14" s="7">
        <f>VLOOKUP(E12,I8:M105,3,FALSE)</f>
        <v>0.85</v>
      </c>
      <c r="F14" s="1"/>
      <c r="I14" s="27" t="s">
        <v>19</v>
      </c>
      <c r="J14" s="27">
        <v>24.5</v>
      </c>
      <c r="K14" s="27">
        <v>0.8</v>
      </c>
      <c r="L14" s="27">
        <v>0</v>
      </c>
      <c r="M14" s="27">
        <v>20.5</v>
      </c>
      <c r="O14" t="s">
        <v>170</v>
      </c>
      <c r="P14" s="12">
        <v>41400</v>
      </c>
    </row>
    <row r="15" spans="3:16" ht="12.75">
      <c r="C15" s="7" t="s">
        <v>181</v>
      </c>
      <c r="D15" s="7"/>
      <c r="E15" s="7">
        <f>VLOOKUP(E12,I7:M105,5,FALSE)</f>
        <v>33.94</v>
      </c>
      <c r="F15" s="1"/>
      <c r="I15" s="27" t="s">
        <v>20</v>
      </c>
      <c r="J15" s="27">
        <v>26.9</v>
      </c>
      <c r="K15" s="27">
        <v>1.1</v>
      </c>
      <c r="L15" s="27">
        <v>2.03</v>
      </c>
      <c r="M15" s="27">
        <v>31.23</v>
      </c>
      <c r="O15" t="s">
        <v>171</v>
      </c>
      <c r="P15" s="12">
        <v>27</v>
      </c>
    </row>
    <row r="16" spans="3:16" ht="12.75">
      <c r="C16" s="1"/>
      <c r="D16" s="1"/>
      <c r="E16" s="1"/>
      <c r="F16" s="1"/>
      <c r="I16" s="27" t="s">
        <v>21</v>
      </c>
      <c r="J16" s="27">
        <v>24.8</v>
      </c>
      <c r="K16" s="27">
        <v>0.6</v>
      </c>
      <c r="L16" s="27">
        <v>0</v>
      </c>
      <c r="M16" s="27">
        <v>25.02</v>
      </c>
      <c r="O16" t="s">
        <v>172</v>
      </c>
      <c r="P16" s="12">
        <v>42</v>
      </c>
    </row>
    <row r="17" spans="3:16" ht="12.75">
      <c r="C17" s="4" t="s">
        <v>158</v>
      </c>
      <c r="D17" s="4"/>
      <c r="E17" s="21"/>
      <c r="F17" s="1"/>
      <c r="I17" s="27" t="s">
        <v>22</v>
      </c>
      <c r="J17" s="27">
        <v>25.7</v>
      </c>
      <c r="K17" s="27">
        <v>0.76</v>
      </c>
      <c r="L17" s="27">
        <v>0.83</v>
      </c>
      <c r="M17" s="27">
        <v>23.98</v>
      </c>
      <c r="O17" t="s">
        <v>173</v>
      </c>
      <c r="P17" s="12">
        <v>49900</v>
      </c>
    </row>
    <row r="18" spans="3:16" ht="12.75">
      <c r="C18" s="4" t="s">
        <v>157</v>
      </c>
      <c r="D18" s="4"/>
      <c r="E18" s="22"/>
      <c r="F18" s="1"/>
      <c r="I18" s="27" t="s">
        <v>23</v>
      </c>
      <c r="J18" s="27">
        <v>25.4</v>
      </c>
      <c r="K18" s="27">
        <v>0.81</v>
      </c>
      <c r="L18" s="27">
        <v>0.53</v>
      </c>
      <c r="M18" s="27">
        <v>25.29</v>
      </c>
      <c r="O18" t="s">
        <v>174</v>
      </c>
      <c r="P18" s="12">
        <v>5700</v>
      </c>
    </row>
    <row r="19" spans="3:16" ht="25.5">
      <c r="C19" s="4" t="s">
        <v>161</v>
      </c>
      <c r="D19" s="4"/>
      <c r="E19" s="20" t="s">
        <v>4</v>
      </c>
      <c r="F19" s="1"/>
      <c r="I19" s="27" t="s">
        <v>24</v>
      </c>
      <c r="J19" s="27">
        <v>24.3</v>
      </c>
      <c r="K19" s="27">
        <v>1.14</v>
      </c>
      <c r="L19" s="27">
        <v>0</v>
      </c>
      <c r="M19" s="27">
        <v>34</v>
      </c>
      <c r="O19" t="s">
        <v>198</v>
      </c>
      <c r="P19" s="6">
        <v>8.05</v>
      </c>
    </row>
    <row r="20" spans="3:16" ht="12.75">
      <c r="C20" s="4" t="s">
        <v>179</v>
      </c>
      <c r="D20" s="4"/>
      <c r="E20" s="22"/>
      <c r="F20" s="1"/>
      <c r="I20" s="27" t="s">
        <v>25</v>
      </c>
      <c r="J20" s="27">
        <v>25.7</v>
      </c>
      <c r="K20" s="27">
        <v>1.02</v>
      </c>
      <c r="L20" s="27">
        <v>0.83</v>
      </c>
      <c r="M20" s="27">
        <v>24.32</v>
      </c>
      <c r="O20" t="s">
        <v>199</v>
      </c>
      <c r="P20" s="67">
        <v>26800</v>
      </c>
    </row>
    <row r="21" spans="3:16" ht="12.75">
      <c r="C21" s="4" t="s">
        <v>110</v>
      </c>
      <c r="D21" s="4"/>
      <c r="E21" s="21"/>
      <c r="F21" s="1"/>
      <c r="I21" s="27" t="s">
        <v>26</v>
      </c>
      <c r="J21" s="27">
        <v>26.1</v>
      </c>
      <c r="K21" s="27">
        <v>1.08</v>
      </c>
      <c r="L21" s="27">
        <v>1.23</v>
      </c>
      <c r="M21" s="27">
        <v>26.13</v>
      </c>
      <c r="O21" t="s">
        <v>176</v>
      </c>
      <c r="P21">
        <v>1</v>
      </c>
    </row>
    <row r="22" spans="3:16" ht="12.75">
      <c r="C22" s="4" t="s">
        <v>180</v>
      </c>
      <c r="D22" s="4"/>
      <c r="E22" s="22" t="s">
        <v>191</v>
      </c>
      <c r="F22" s="1"/>
      <c r="I22" s="27" t="s">
        <v>27</v>
      </c>
      <c r="J22" s="27">
        <v>25.3</v>
      </c>
      <c r="K22" s="27">
        <v>0.64</v>
      </c>
      <c r="L22" s="27">
        <v>0.43</v>
      </c>
      <c r="M22" s="27">
        <v>24.65</v>
      </c>
      <c r="O22" t="s">
        <v>177</v>
      </c>
      <c r="P22">
        <v>3</v>
      </c>
    </row>
    <row r="23" spans="3:16" ht="12.75">
      <c r="C23" s="4" t="s">
        <v>181</v>
      </c>
      <c r="D23" s="4"/>
      <c r="E23" s="35">
        <f>VLOOKUP(E22,I7:M107,5,FALSE)</f>
        <v>0</v>
      </c>
      <c r="F23" s="1"/>
      <c r="I23" s="27" t="s">
        <v>28</v>
      </c>
      <c r="J23" s="27">
        <v>25.5</v>
      </c>
      <c r="K23" s="27">
        <v>0.88</v>
      </c>
      <c r="L23" s="27">
        <v>0.63</v>
      </c>
      <c r="M23" s="27">
        <v>26</v>
      </c>
      <c r="O23" t="s">
        <v>175</v>
      </c>
      <c r="P23" s="12">
        <v>3040000</v>
      </c>
    </row>
    <row r="24" spans="3:16" ht="12.75">
      <c r="C24" s="4" t="s">
        <v>178</v>
      </c>
      <c r="D24" s="4"/>
      <c r="E24" s="22"/>
      <c r="F24" s="1"/>
      <c r="I24" s="27" t="s">
        <v>29</v>
      </c>
      <c r="J24" s="27">
        <v>22.8</v>
      </c>
      <c r="K24" s="27">
        <v>0.5</v>
      </c>
      <c r="L24" s="27">
        <v>0</v>
      </c>
      <c r="M24" s="27">
        <v>26.5</v>
      </c>
      <c r="O24" t="s">
        <v>251</v>
      </c>
      <c r="P24">
        <v>0.2</v>
      </c>
    </row>
    <row r="25" spans="3:16" ht="12.75">
      <c r="C25" s="4" t="s">
        <v>156</v>
      </c>
      <c r="D25" s="4"/>
      <c r="E25" s="20" t="s">
        <v>4</v>
      </c>
      <c r="F25" s="1"/>
      <c r="I25" s="27" t="s">
        <v>30</v>
      </c>
      <c r="J25" s="27">
        <v>26.2</v>
      </c>
      <c r="K25" s="27">
        <v>1.03</v>
      </c>
      <c r="L25" s="27">
        <v>1.33</v>
      </c>
      <c r="M25" s="27">
        <v>29.9</v>
      </c>
      <c r="O25" t="s">
        <v>252</v>
      </c>
      <c r="P25">
        <v>0.4</v>
      </c>
    </row>
    <row r="26" spans="9:16" ht="12.75">
      <c r="I26" s="27" t="s">
        <v>31</v>
      </c>
      <c r="J26" s="27">
        <v>25.4</v>
      </c>
      <c r="K26" s="27">
        <v>0.96</v>
      </c>
      <c r="L26" s="27">
        <v>0.53</v>
      </c>
      <c r="M26" s="27">
        <v>32.5</v>
      </c>
      <c r="O26" t="s">
        <v>253</v>
      </c>
      <c r="P26" s="12">
        <v>1200</v>
      </c>
    </row>
    <row r="27" spans="3:16" ht="12.75">
      <c r="C27" s="75" t="s">
        <v>237</v>
      </c>
      <c r="D27" s="78"/>
      <c r="E27" s="78"/>
      <c r="F27" s="79"/>
      <c r="I27" s="27" t="s">
        <v>247</v>
      </c>
      <c r="J27" s="27">
        <v>24.8</v>
      </c>
      <c r="K27" s="27">
        <v>0.65</v>
      </c>
      <c r="L27" s="27">
        <v>0</v>
      </c>
      <c r="M27" s="27">
        <v>21.5</v>
      </c>
      <c r="O27" t="s">
        <v>250</v>
      </c>
      <c r="P27" s="6">
        <v>4</v>
      </c>
    </row>
    <row r="28" spans="3:16" ht="12.75">
      <c r="C28" s="64"/>
      <c r="D28" s="29"/>
      <c r="E28" s="29"/>
      <c r="F28" s="65"/>
      <c r="I28" s="27" t="s">
        <v>32</v>
      </c>
      <c r="J28" s="27">
        <v>26.1</v>
      </c>
      <c r="K28" s="27">
        <v>1.05</v>
      </c>
      <c r="L28" s="27">
        <v>1.23</v>
      </c>
      <c r="M28" s="27">
        <v>22.85</v>
      </c>
      <c r="O28" t="s">
        <v>231</v>
      </c>
      <c r="P28" s="67">
        <v>374800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s="27" t="s">
        <v>33</v>
      </c>
      <c r="J29" s="27">
        <v>22.8</v>
      </c>
      <c r="K29" s="27">
        <v>0.43</v>
      </c>
      <c r="L29" s="27">
        <v>0</v>
      </c>
      <c r="M29" s="27">
        <v>16</v>
      </c>
      <c r="O29" t="s">
        <v>233</v>
      </c>
      <c r="P29">
        <v>5</v>
      </c>
    </row>
    <row r="30" spans="3:16" ht="12.75">
      <c r="C30" s="72" t="s">
        <v>111</v>
      </c>
      <c r="D30" s="78"/>
      <c r="E30" s="78"/>
      <c r="F30" s="79"/>
      <c r="I30" s="27" t="s">
        <v>34</v>
      </c>
      <c r="J30" s="27">
        <v>23.9</v>
      </c>
      <c r="K30" s="27">
        <v>0.75</v>
      </c>
      <c r="L30" s="27">
        <v>0</v>
      </c>
      <c r="M30" s="27">
        <v>23</v>
      </c>
      <c r="O30" t="s">
        <v>239</v>
      </c>
      <c r="P30" s="12">
        <v>125000</v>
      </c>
    </row>
    <row r="31" spans="3:13" ht="12.75">
      <c r="C31" s="4" t="s">
        <v>153</v>
      </c>
      <c r="D31" s="4"/>
      <c r="E31" s="22"/>
      <c r="F31" s="22"/>
      <c r="I31" s="27" t="s">
        <v>35</v>
      </c>
      <c r="J31" s="27">
        <v>23.7</v>
      </c>
      <c r="K31" s="27">
        <v>0.67</v>
      </c>
      <c r="L31" s="27">
        <v>0</v>
      </c>
      <c r="M31" s="27">
        <v>25</v>
      </c>
    </row>
    <row r="32" spans="3:13" ht="25.5">
      <c r="C32" s="55" t="s">
        <v>203</v>
      </c>
      <c r="D32" s="4"/>
      <c r="E32" s="57">
        <f>E31*P4/100</f>
        <v>0</v>
      </c>
      <c r="F32" s="54">
        <f>F31*P4/100</f>
        <v>0</v>
      </c>
      <c r="I32" s="27" t="s">
        <v>36</v>
      </c>
      <c r="J32" s="27">
        <v>23.9</v>
      </c>
      <c r="K32" s="27">
        <v>0.73</v>
      </c>
      <c r="L32" s="27">
        <v>0</v>
      </c>
      <c r="M32" s="27">
        <v>16.94</v>
      </c>
    </row>
    <row r="33" spans="3:13" ht="25.5">
      <c r="C33" s="4" t="s">
        <v>223</v>
      </c>
      <c r="D33" s="4"/>
      <c r="E33" s="58">
        <f>Virksomhed!D41</f>
        <v>0</v>
      </c>
      <c r="F33" s="54"/>
      <c r="I33" s="27" t="s">
        <v>37</v>
      </c>
      <c r="J33" s="27">
        <v>24.7</v>
      </c>
      <c r="K33" s="27">
        <v>0.9</v>
      </c>
      <c r="L33" s="27">
        <v>0</v>
      </c>
      <c r="M33" s="27">
        <v>29.34</v>
      </c>
    </row>
    <row r="34" spans="3:13" ht="25.5">
      <c r="C34" s="55" t="s">
        <v>203</v>
      </c>
      <c r="D34" s="4"/>
      <c r="E34" s="13">
        <f>MAX(0,E33*P4/100)</f>
        <v>0</v>
      </c>
      <c r="F34" s="13"/>
      <c r="I34" s="27" t="s">
        <v>38</v>
      </c>
      <c r="J34" s="27">
        <v>25.8</v>
      </c>
      <c r="K34" s="27">
        <v>1.16</v>
      </c>
      <c r="L34" s="27">
        <v>0.93</v>
      </c>
      <c r="M34" s="27">
        <v>32</v>
      </c>
    </row>
    <row r="35" spans="3:13" ht="25.5">
      <c r="C35" s="4" t="s">
        <v>245</v>
      </c>
      <c r="D35" s="4"/>
      <c r="E35" s="22"/>
      <c r="F35" s="22"/>
      <c r="I35" s="27" t="s">
        <v>39</v>
      </c>
      <c r="J35" s="27">
        <v>26.3</v>
      </c>
      <c r="K35" s="27">
        <v>0.95</v>
      </c>
      <c r="L35" s="27">
        <v>1.43</v>
      </c>
      <c r="M35" s="27">
        <v>24.36</v>
      </c>
    </row>
    <row r="36" spans="3:13" ht="25.5">
      <c r="C36" s="4" t="s">
        <v>246</v>
      </c>
      <c r="D36" s="4"/>
      <c r="E36" s="22"/>
      <c r="F36" s="22"/>
      <c r="I36" s="27" t="s">
        <v>40</v>
      </c>
      <c r="J36" s="27">
        <v>25.7</v>
      </c>
      <c r="K36" s="27">
        <v>0.85</v>
      </c>
      <c r="L36" s="27">
        <v>0.83</v>
      </c>
      <c r="M36" s="27">
        <v>34</v>
      </c>
    </row>
    <row r="37" spans="3:16" ht="25.5">
      <c r="C37" s="4" t="s">
        <v>112</v>
      </c>
      <c r="D37" s="4"/>
      <c r="E37" s="22"/>
      <c r="F37" s="22"/>
      <c r="I37" s="27" t="s">
        <v>41</v>
      </c>
      <c r="J37" s="27">
        <v>25.4</v>
      </c>
      <c r="K37" s="27">
        <v>0.98</v>
      </c>
      <c r="L37" s="27">
        <v>0.53</v>
      </c>
      <c r="M37" s="27">
        <v>18</v>
      </c>
      <c r="O37" s="66"/>
      <c r="P37" s="66"/>
    </row>
    <row r="38" spans="3:16" ht="12.75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s="27" t="s">
        <v>42</v>
      </c>
      <c r="J38" s="27">
        <v>25.4</v>
      </c>
      <c r="K38" s="27">
        <v>0.66</v>
      </c>
      <c r="L38" s="27">
        <v>0.53</v>
      </c>
      <c r="M38" s="27">
        <v>29.3</v>
      </c>
      <c r="O38" s="27"/>
      <c r="P38" s="27"/>
    </row>
    <row r="39" spans="3:13" ht="12.75">
      <c r="C39" s="72" t="s">
        <v>114</v>
      </c>
      <c r="D39" s="73"/>
      <c r="E39" s="73"/>
      <c r="F39" s="74"/>
      <c r="I39" s="27" t="s">
        <v>43</v>
      </c>
      <c r="J39" s="27">
        <v>23.7</v>
      </c>
      <c r="K39" s="27">
        <v>0.77</v>
      </c>
      <c r="L39" s="27">
        <v>0</v>
      </c>
      <c r="M39" s="27">
        <v>24.3</v>
      </c>
    </row>
    <row r="40" spans="3:13" ht="12.75">
      <c r="C40" s="4" t="s">
        <v>115</v>
      </c>
      <c r="D40" s="4"/>
      <c r="E40" s="22"/>
      <c r="F40" s="22"/>
      <c r="I40" s="27" t="s">
        <v>44</v>
      </c>
      <c r="J40" s="27">
        <v>24.9</v>
      </c>
      <c r="K40" s="27">
        <v>0.99</v>
      </c>
      <c r="L40" s="27">
        <v>0.03</v>
      </c>
      <c r="M40" s="27">
        <v>20.53</v>
      </c>
    </row>
    <row r="41" spans="3:13" ht="12.75">
      <c r="C41" s="4" t="s">
        <v>116</v>
      </c>
      <c r="D41" s="4"/>
      <c r="E41" s="22"/>
      <c r="F41" s="22"/>
      <c r="I41" s="27" t="s">
        <v>45</v>
      </c>
      <c r="J41" s="27">
        <v>25.6</v>
      </c>
      <c r="K41" s="27">
        <v>0.69</v>
      </c>
      <c r="L41" s="27">
        <v>0.73</v>
      </c>
      <c r="M41" s="27">
        <v>20.65</v>
      </c>
    </row>
    <row r="42" spans="3:13" ht="12.75">
      <c r="C42" s="4" t="s">
        <v>117</v>
      </c>
      <c r="D42" s="4"/>
      <c r="E42" s="22"/>
      <c r="F42" s="22"/>
      <c r="I42" s="27" t="s">
        <v>46</v>
      </c>
      <c r="J42" s="27">
        <v>25.9</v>
      </c>
      <c r="K42" s="27">
        <v>1.19</v>
      </c>
      <c r="L42" s="27">
        <v>1.03</v>
      </c>
      <c r="M42" s="27">
        <v>34</v>
      </c>
    </row>
    <row r="43" spans="3:13" ht="12.75">
      <c r="C43" s="4" t="s">
        <v>222</v>
      </c>
      <c r="D43" s="4"/>
      <c r="E43" s="54">
        <f>E40+E41-E42</f>
        <v>0</v>
      </c>
      <c r="F43" s="54">
        <f>F40+F41-F42</f>
        <v>0</v>
      </c>
      <c r="I43" s="27" t="s">
        <v>47</v>
      </c>
      <c r="J43" s="27">
        <v>25.1</v>
      </c>
      <c r="K43" s="27">
        <v>0.96</v>
      </c>
      <c r="L43" s="27">
        <v>0.23</v>
      </c>
      <c r="M43" s="27">
        <v>23.65</v>
      </c>
    </row>
    <row r="44" spans="3:13" ht="25.5">
      <c r="C44" s="4" t="s">
        <v>225</v>
      </c>
      <c r="D44" s="4"/>
      <c r="E44" s="56">
        <f>Virksomhed!D46</f>
        <v>0</v>
      </c>
      <c r="F44" s="54"/>
      <c r="I44" s="27" t="s">
        <v>48</v>
      </c>
      <c r="J44" s="27">
        <v>25.3</v>
      </c>
      <c r="K44" s="27">
        <v>1.08</v>
      </c>
      <c r="L44" s="27">
        <v>0.43</v>
      </c>
      <c r="M44" s="27">
        <v>24.12</v>
      </c>
    </row>
    <row r="45" spans="3:13" ht="12.75">
      <c r="C45" s="9" t="s">
        <v>118</v>
      </c>
      <c r="D45" s="9"/>
      <c r="E45" s="13">
        <f>E43+E44</f>
        <v>0</v>
      </c>
      <c r="F45" s="13">
        <f>F43</f>
        <v>0</v>
      </c>
      <c r="I45" s="27" t="s">
        <v>49</v>
      </c>
      <c r="J45" s="27">
        <v>25.2</v>
      </c>
      <c r="K45" s="27">
        <v>0.89</v>
      </c>
      <c r="L45" s="27">
        <v>0.33</v>
      </c>
      <c r="M45" s="27">
        <v>22.56</v>
      </c>
    </row>
    <row r="46" spans="3:13" ht="12.75">
      <c r="C46" s="72" t="s">
        <v>119</v>
      </c>
      <c r="D46" s="73"/>
      <c r="E46" s="73"/>
      <c r="F46" s="74"/>
      <c r="I46" s="27" t="s">
        <v>50</v>
      </c>
      <c r="J46" s="27">
        <v>25.5</v>
      </c>
      <c r="K46" s="27">
        <v>0.72</v>
      </c>
      <c r="L46" s="27">
        <v>0.63</v>
      </c>
      <c r="M46" s="27">
        <v>30.3</v>
      </c>
    </row>
    <row r="47" spans="3:13" ht="12.75">
      <c r="C47" s="4" t="s">
        <v>120</v>
      </c>
      <c r="D47" s="4"/>
      <c r="E47" s="22" t="s">
        <v>192</v>
      </c>
      <c r="F47" s="22" t="s">
        <v>192</v>
      </c>
      <c r="I47" s="27" t="s">
        <v>51</v>
      </c>
      <c r="J47" s="27">
        <v>24.7</v>
      </c>
      <c r="K47" s="27">
        <v>0.85</v>
      </c>
      <c r="L47" s="27">
        <v>0</v>
      </c>
      <c r="M47" s="27">
        <v>24.6</v>
      </c>
    </row>
    <row r="48" spans="3:13" ht="25.5">
      <c r="C48" s="4" t="s">
        <v>121</v>
      </c>
      <c r="D48" s="4"/>
      <c r="E48" s="22"/>
      <c r="F48" s="22"/>
      <c r="I48" s="27" t="s">
        <v>52</v>
      </c>
      <c r="J48" s="27">
        <v>23.2</v>
      </c>
      <c r="K48" s="27">
        <v>0.62</v>
      </c>
      <c r="L48" s="27">
        <v>0</v>
      </c>
      <c r="M48" s="27">
        <v>22.1</v>
      </c>
    </row>
    <row r="49" spans="3:13" ht="12.75">
      <c r="C49" s="4" t="s">
        <v>122</v>
      </c>
      <c r="D49" s="13">
        <f>P18</f>
        <v>5700</v>
      </c>
      <c r="E49" s="22"/>
      <c r="F49" s="22"/>
      <c r="I49" s="27" t="s">
        <v>53</v>
      </c>
      <c r="J49" s="27">
        <v>25.6</v>
      </c>
      <c r="K49" s="27">
        <v>1</v>
      </c>
      <c r="L49" s="27">
        <v>0.73</v>
      </c>
      <c r="M49" s="27">
        <v>20.35</v>
      </c>
    </row>
    <row r="50" spans="3:13" ht="25.5">
      <c r="C50" s="4" t="s">
        <v>123</v>
      </c>
      <c r="D50" s="1"/>
      <c r="E50" s="22"/>
      <c r="F50" s="22"/>
      <c r="I50" s="27" t="s">
        <v>54</v>
      </c>
      <c r="J50" s="27">
        <v>25</v>
      </c>
      <c r="K50" s="27">
        <v>0.9</v>
      </c>
      <c r="L50" s="27">
        <v>0.13</v>
      </c>
      <c r="M50" s="27">
        <v>25</v>
      </c>
    </row>
    <row r="51" spans="3:13" ht="12.75">
      <c r="C51" s="4" t="s">
        <v>124</v>
      </c>
      <c r="D51" s="1"/>
      <c r="E51" s="22"/>
      <c r="F51" s="22"/>
      <c r="I51" s="27" t="s">
        <v>55</v>
      </c>
      <c r="J51" s="27">
        <v>25.7</v>
      </c>
      <c r="K51" s="27">
        <v>1.2</v>
      </c>
      <c r="L51" s="27">
        <v>0.83</v>
      </c>
      <c r="M51" s="27">
        <v>32.85</v>
      </c>
    </row>
    <row r="52" spans="3:13" ht="12.75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s="27" t="s">
        <v>56</v>
      </c>
      <c r="J52" s="27">
        <v>25</v>
      </c>
      <c r="K52" s="27">
        <v>1.01</v>
      </c>
      <c r="L52" s="27">
        <v>0.13</v>
      </c>
      <c r="M52" s="27">
        <v>34</v>
      </c>
    </row>
    <row r="53" spans="3:13" ht="12.75">
      <c r="C53" s="9" t="s">
        <v>126</v>
      </c>
      <c r="D53" s="1"/>
      <c r="E53" s="13">
        <f>SUM(E47:E52)</f>
        <v>0</v>
      </c>
      <c r="F53" s="13">
        <f>SUM(F47:F52)</f>
        <v>0</v>
      </c>
      <c r="I53" s="27" t="s">
        <v>57</v>
      </c>
      <c r="J53" s="27">
        <v>26.2</v>
      </c>
      <c r="K53" s="27">
        <v>0.99</v>
      </c>
      <c r="L53" s="27">
        <v>1.33</v>
      </c>
      <c r="M53" s="27">
        <v>30.3</v>
      </c>
    </row>
    <row r="54" spans="3:13" ht="12.75">
      <c r="C54" s="72" t="s">
        <v>127</v>
      </c>
      <c r="D54" s="74"/>
      <c r="E54" s="15">
        <f>E38+E45-E53</f>
        <v>0</v>
      </c>
      <c r="F54" s="15">
        <f>F38+F45-F53</f>
        <v>0</v>
      </c>
      <c r="I54" s="27" t="s">
        <v>58</v>
      </c>
      <c r="J54" s="27">
        <v>25</v>
      </c>
      <c r="K54" s="27">
        <v>0.94</v>
      </c>
      <c r="L54" s="27">
        <v>0.13</v>
      </c>
      <c r="M54" s="27">
        <v>25</v>
      </c>
    </row>
    <row r="55" spans="9:13" ht="12.75">
      <c r="I55" s="27" t="s">
        <v>59</v>
      </c>
      <c r="J55" s="27">
        <v>23.8</v>
      </c>
      <c r="K55" s="27">
        <v>0.8</v>
      </c>
      <c r="L55" s="27">
        <v>0</v>
      </c>
      <c r="M55" s="27">
        <v>34</v>
      </c>
    </row>
    <row r="56" spans="3:13" ht="12.75">
      <c r="C56" s="85" t="s">
        <v>128</v>
      </c>
      <c r="D56" s="86"/>
      <c r="E56" s="86"/>
      <c r="F56" s="87"/>
      <c r="I56" s="27" t="s">
        <v>60</v>
      </c>
      <c r="J56" s="27">
        <v>24.9</v>
      </c>
      <c r="K56" s="27">
        <v>0.87</v>
      </c>
      <c r="L56" s="27">
        <v>0.03</v>
      </c>
      <c r="M56" s="27">
        <v>21.04</v>
      </c>
    </row>
    <row r="57" spans="3:13" ht="38.25">
      <c r="C57" s="4" t="s">
        <v>241</v>
      </c>
      <c r="D57" s="1"/>
      <c r="E57" s="22" t="s">
        <v>192</v>
      </c>
      <c r="F57" s="22" t="s">
        <v>192</v>
      </c>
      <c r="I57" s="27" t="s">
        <v>61</v>
      </c>
      <c r="J57" s="27">
        <v>27.8</v>
      </c>
      <c r="K57" s="27">
        <v>1.14</v>
      </c>
      <c r="L57" s="27">
        <v>2.93</v>
      </c>
      <c r="M57" s="27">
        <v>24.57</v>
      </c>
    </row>
    <row r="58" spans="3:13" ht="25.5">
      <c r="C58" s="4" t="s">
        <v>242</v>
      </c>
      <c r="D58" s="1"/>
      <c r="E58" s="22" t="s">
        <v>192</v>
      </c>
      <c r="F58" s="22"/>
      <c r="I58" s="27" t="s">
        <v>62</v>
      </c>
      <c r="J58" s="27">
        <v>25.3</v>
      </c>
      <c r="K58" s="27">
        <v>1.06</v>
      </c>
      <c r="L58" s="27">
        <v>0.43</v>
      </c>
      <c r="M58" s="27">
        <v>28.23</v>
      </c>
    </row>
    <row r="59" spans="3:13" ht="12.75">
      <c r="C59" s="9" t="s">
        <v>129</v>
      </c>
      <c r="D59" s="1"/>
      <c r="E59" s="13">
        <f>SUM(E57:E58)</f>
        <v>0</v>
      </c>
      <c r="F59" s="13">
        <f>SUM(F57:F58)</f>
        <v>0</v>
      </c>
      <c r="I59" s="27" t="s">
        <v>63</v>
      </c>
      <c r="J59" s="27">
        <v>25.2</v>
      </c>
      <c r="K59" s="27">
        <v>1.27</v>
      </c>
      <c r="L59" s="27">
        <v>0.33</v>
      </c>
      <c r="M59" s="27">
        <v>28</v>
      </c>
    </row>
    <row r="60" spans="3:13" ht="12.75">
      <c r="C60" s="44"/>
      <c r="D60" s="16"/>
      <c r="E60" s="17"/>
      <c r="F60" s="17"/>
      <c r="I60" s="27" t="s">
        <v>64</v>
      </c>
      <c r="J60" s="27">
        <v>26.7</v>
      </c>
      <c r="K60" s="27">
        <v>1.23</v>
      </c>
      <c r="L60" s="27">
        <v>1.83</v>
      </c>
      <c r="M60" s="27">
        <v>33.09</v>
      </c>
    </row>
    <row r="61" spans="3:13" ht="12.75">
      <c r="C61" s="75" t="s">
        <v>182</v>
      </c>
      <c r="D61" s="76"/>
      <c r="E61" s="76"/>
      <c r="F61" s="77"/>
      <c r="I61" s="27" t="s">
        <v>65</v>
      </c>
      <c r="J61" s="27">
        <v>23.7</v>
      </c>
      <c r="K61" s="27">
        <v>0.61</v>
      </c>
      <c r="L61" s="27">
        <v>0</v>
      </c>
      <c r="M61" s="27">
        <v>22.49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s="27" t="s">
        <v>66</v>
      </c>
      <c r="J62" s="27">
        <v>25.8</v>
      </c>
      <c r="K62" s="27">
        <v>1.3</v>
      </c>
      <c r="L62" s="27">
        <v>0.93</v>
      </c>
      <c r="M62" s="27">
        <v>34</v>
      </c>
    </row>
    <row r="63" spans="3:13" ht="12.75">
      <c r="C63" s="72" t="s">
        <v>142</v>
      </c>
      <c r="D63" s="73"/>
      <c r="E63" s="73"/>
      <c r="F63" s="74"/>
      <c r="I63" s="27" t="s">
        <v>67</v>
      </c>
      <c r="J63" s="27">
        <v>25.9</v>
      </c>
      <c r="K63" s="27">
        <v>1.15</v>
      </c>
      <c r="L63" s="27">
        <v>1.03</v>
      </c>
      <c r="M63" s="27">
        <v>28.8</v>
      </c>
    </row>
    <row r="64" spans="3:13" ht="12.75">
      <c r="C64" s="4" t="s">
        <v>130</v>
      </c>
      <c r="D64" s="1"/>
      <c r="E64" s="13">
        <f>E54</f>
        <v>0</v>
      </c>
      <c r="F64" s="13" t="str">
        <f>IF(Gift,F54,"ugift")</f>
        <v>ugift</v>
      </c>
      <c r="I64" s="27" t="s">
        <v>68</v>
      </c>
      <c r="J64" s="27">
        <v>25.8</v>
      </c>
      <c r="K64" s="27">
        <v>0.95</v>
      </c>
      <c r="L64" s="27">
        <v>0.93</v>
      </c>
      <c r="M64" s="27">
        <v>21.29</v>
      </c>
    </row>
    <row r="65" spans="3:13" ht="12.75">
      <c r="C65" s="4" t="s">
        <v>131</v>
      </c>
      <c r="D65" s="1"/>
      <c r="E65" s="13">
        <f>IF(E9=S1,(-1)*P11,(-1)*P12)</f>
        <v>-43400</v>
      </c>
      <c r="F65" s="13" t="str">
        <f>IF(Gift,IF(F9=S1,(-1)*P11,(-1)*P12),"ugift")</f>
        <v>ugift</v>
      </c>
      <c r="I65" s="27" t="s">
        <v>69</v>
      </c>
      <c r="J65" s="27">
        <v>25.8</v>
      </c>
      <c r="K65" s="27">
        <v>1.2</v>
      </c>
      <c r="L65" s="27">
        <v>0.93</v>
      </c>
      <c r="M65" s="27">
        <v>24.68</v>
      </c>
    </row>
    <row r="66" spans="3:13" ht="12.75">
      <c r="C66" s="9" t="s">
        <v>132</v>
      </c>
      <c r="D66" s="1"/>
      <c r="E66" s="13">
        <f>SUM(E64:E65)</f>
        <v>-43400</v>
      </c>
      <c r="F66" s="13" t="str">
        <f>IF(Gift,SUM(F64:F65),"ugift")</f>
        <v>ugift</v>
      </c>
      <c r="I66" s="27" t="s">
        <v>70</v>
      </c>
      <c r="J66" s="27">
        <v>25.1</v>
      </c>
      <c r="K66" s="27">
        <v>1</v>
      </c>
      <c r="L66" s="27">
        <v>0.23</v>
      </c>
      <c r="M66" s="27">
        <v>34</v>
      </c>
    </row>
    <row r="67" spans="1:13" ht="12.75">
      <c r="A67" s="1">
        <f>IF(E10=S1,E13+E14,E13)+P6</f>
        <v>29.950000000000003</v>
      </c>
      <c r="B67" s="1">
        <f>IF(F10=S1,E13+E14,E13)+P6</f>
        <v>29.950000000000003</v>
      </c>
      <c r="C67" s="1" t="s">
        <v>133</v>
      </c>
      <c r="D67" s="1"/>
      <c r="E67" s="13">
        <f>E66*A67/100</f>
        <v>-12998.300000000003</v>
      </c>
      <c r="F67" s="13" t="str">
        <f>IF(Gift,F66*B67/100,"ugift")</f>
        <v>ugift</v>
      </c>
      <c r="I67" s="27" t="s">
        <v>71</v>
      </c>
      <c r="J67" s="27">
        <v>26</v>
      </c>
      <c r="K67" s="27">
        <v>1.04</v>
      </c>
      <c r="L67" s="27">
        <v>1.13</v>
      </c>
      <c r="M67" s="27">
        <v>29.98</v>
      </c>
    </row>
    <row r="68" spans="1:13" ht="12.75">
      <c r="A68" s="16"/>
      <c r="B68" s="16"/>
      <c r="C68" s="1" t="s">
        <v>136</v>
      </c>
      <c r="D68" s="1"/>
      <c r="E68" s="13">
        <f>IF(Gift,E67+F67,E67)</f>
        <v>-12998.300000000003</v>
      </c>
      <c r="F68" s="17"/>
      <c r="I68" s="27" t="s">
        <v>72</v>
      </c>
      <c r="J68" s="27">
        <v>26.4</v>
      </c>
      <c r="K68" s="27">
        <v>1.14</v>
      </c>
      <c r="L68" s="27">
        <v>1.53</v>
      </c>
      <c r="M68" s="27">
        <v>27.83</v>
      </c>
    </row>
    <row r="69" spans="3:13" ht="12.75">
      <c r="C69" s="72" t="s">
        <v>134</v>
      </c>
      <c r="D69" s="73"/>
      <c r="E69" s="73"/>
      <c r="F69" s="74"/>
      <c r="I69" s="27" t="s">
        <v>73</v>
      </c>
      <c r="J69" s="27">
        <v>25</v>
      </c>
      <c r="K69" s="27">
        <v>0.98</v>
      </c>
      <c r="L69" s="27">
        <v>0.13</v>
      </c>
      <c r="M69" s="27">
        <v>25</v>
      </c>
    </row>
    <row r="70" spans="3:13" ht="12.75">
      <c r="C70" s="4" t="s">
        <v>111</v>
      </c>
      <c r="D70" s="1"/>
      <c r="E70" s="14">
        <f>E38</f>
        <v>0</v>
      </c>
      <c r="F70" s="14" t="str">
        <f>IF(Gift,F38,"ugift")</f>
        <v>ugift</v>
      </c>
      <c r="I70" s="27" t="s">
        <v>74</v>
      </c>
      <c r="J70" s="27">
        <v>25.1</v>
      </c>
      <c r="K70" s="27">
        <v>1</v>
      </c>
      <c r="L70" s="27">
        <v>0.23</v>
      </c>
      <c r="M70" s="27">
        <v>30.32</v>
      </c>
    </row>
    <row r="71" spans="3:13" ht="12.75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s="27" t="s">
        <v>75</v>
      </c>
      <c r="J71" s="27">
        <v>24.5</v>
      </c>
      <c r="K71" s="27">
        <v>0.68</v>
      </c>
      <c r="L71" s="27">
        <v>0</v>
      </c>
      <c r="M71" s="27">
        <v>21.71</v>
      </c>
    </row>
    <row r="72" spans="3:13" ht="12.75">
      <c r="C72" s="4" t="s">
        <v>131</v>
      </c>
      <c r="D72" s="1"/>
      <c r="E72" s="13">
        <f>E65</f>
        <v>-43400</v>
      </c>
      <c r="F72" s="13" t="str">
        <f>F65</f>
        <v>ugift</v>
      </c>
      <c r="I72" s="27" t="s">
        <v>76</v>
      </c>
      <c r="J72" s="27">
        <v>26.6</v>
      </c>
      <c r="K72" s="27">
        <v>0.98</v>
      </c>
      <c r="L72" s="27">
        <v>1.73</v>
      </c>
      <c r="M72" s="27">
        <v>34</v>
      </c>
    </row>
    <row r="73" spans="3:13" ht="12.75">
      <c r="C73" s="9" t="s">
        <v>132</v>
      </c>
      <c r="D73" s="1"/>
      <c r="E73" s="13">
        <f>SUM(E70:E72)</f>
        <v>-43400</v>
      </c>
      <c r="F73" s="13" t="str">
        <f>IF(Gift,SUM(F70:F72),"ugift")</f>
        <v>ugift</v>
      </c>
      <c r="I73" s="27" t="s">
        <v>77</v>
      </c>
      <c r="J73" s="27">
        <v>25.6</v>
      </c>
      <c r="K73" s="27">
        <v>0.89</v>
      </c>
      <c r="L73" s="27">
        <v>0.73</v>
      </c>
      <c r="M73" s="27">
        <v>27.93</v>
      </c>
    </row>
    <row r="74" spans="2:13" ht="12.75">
      <c r="B74" s="1">
        <f>P5</f>
        <v>8.08</v>
      </c>
      <c r="C74" s="1" t="s">
        <v>133</v>
      </c>
      <c r="D74" s="1"/>
      <c r="E74" s="13">
        <f>E73*B74/100</f>
        <v>-3506.72</v>
      </c>
      <c r="F74" s="13" t="str">
        <f>IF(Gift,F73*B74/100,"ugift")</f>
        <v>ugift</v>
      </c>
      <c r="I74" s="27" t="s">
        <v>78</v>
      </c>
      <c r="J74" s="27">
        <v>25.1</v>
      </c>
      <c r="K74" s="27">
        <v>1.2</v>
      </c>
      <c r="L74" s="27">
        <v>0.23</v>
      </c>
      <c r="M74" s="27">
        <v>26.09</v>
      </c>
    </row>
    <row r="75" spans="3:13" ht="12.75">
      <c r="C75" s="1" t="s">
        <v>136</v>
      </c>
      <c r="D75" s="1"/>
      <c r="E75" s="13">
        <f>IF(Gift,E74+F74,E74)</f>
        <v>-3506.72</v>
      </c>
      <c r="I75" s="27" t="s">
        <v>79</v>
      </c>
      <c r="J75" s="27">
        <v>25</v>
      </c>
      <c r="K75" s="27">
        <v>1.05</v>
      </c>
      <c r="L75" s="27">
        <v>0.13</v>
      </c>
      <c r="M75" s="27">
        <v>31</v>
      </c>
    </row>
    <row r="76" spans="3:13" ht="12.75">
      <c r="C76" s="75" t="s">
        <v>137</v>
      </c>
      <c r="D76" s="76"/>
      <c r="E76" s="76"/>
      <c r="F76" s="77"/>
      <c r="I76" s="27" t="s">
        <v>80</v>
      </c>
      <c r="J76" s="27">
        <v>26.7</v>
      </c>
      <c r="K76" s="27">
        <v>0.97</v>
      </c>
      <c r="L76" s="27">
        <v>1.83</v>
      </c>
      <c r="M76" s="27">
        <v>24.74</v>
      </c>
    </row>
    <row r="77" spans="3:13" ht="12.75">
      <c r="C77" s="4" t="s">
        <v>111</v>
      </c>
      <c r="D77" s="1"/>
      <c r="E77" s="13">
        <f>E38</f>
        <v>0</v>
      </c>
      <c r="F77" s="13" t="str">
        <f>IF(Gift,F38,"ugift")</f>
        <v>ugift</v>
      </c>
      <c r="I77" s="27" t="s">
        <v>81</v>
      </c>
      <c r="J77" s="27">
        <v>25.2</v>
      </c>
      <c r="K77" s="27">
        <v>0.84</v>
      </c>
      <c r="L77" s="27">
        <v>0.33</v>
      </c>
      <c r="M77" s="27">
        <v>24.31</v>
      </c>
    </row>
    <row r="78" spans="3:13" ht="12.75">
      <c r="C78" s="4" t="s">
        <v>138</v>
      </c>
      <c r="D78" s="1"/>
      <c r="E78" s="13">
        <f>-P8</f>
        <v>-459200</v>
      </c>
      <c r="F78" s="13" t="str">
        <f>IF(Gift,-P8,"ugift")</f>
        <v>ugift</v>
      </c>
      <c r="I78" s="27" t="s">
        <v>82</v>
      </c>
      <c r="J78" s="27">
        <v>22.5</v>
      </c>
      <c r="K78" s="27">
        <v>0.56</v>
      </c>
      <c r="L78" s="27">
        <v>0</v>
      </c>
      <c r="M78" s="27">
        <v>22.93</v>
      </c>
    </row>
    <row r="79" spans="3:13" ht="12.75">
      <c r="C79" s="9" t="s">
        <v>132</v>
      </c>
      <c r="D79" s="1"/>
      <c r="E79" s="13">
        <f>SUM(E77:E78)</f>
        <v>-459200</v>
      </c>
      <c r="F79" s="13" t="str">
        <f>IF(Gift,SUM(F77:F78),"ugift")</f>
        <v>ugift</v>
      </c>
      <c r="I79" s="27" t="s">
        <v>83</v>
      </c>
      <c r="J79" s="27">
        <v>25.7</v>
      </c>
      <c r="K79" s="27">
        <v>0.72</v>
      </c>
      <c r="L79" s="27">
        <v>0.83</v>
      </c>
      <c r="M79" s="27">
        <v>30.8</v>
      </c>
    </row>
    <row r="80" spans="2:13" ht="12.75">
      <c r="B80" s="1">
        <f>IF((E13+P6+P5+P7)&gt;P9,P7-(E13+P6+P5+P7-P9),P7)</f>
        <v>14.770000000000003</v>
      </c>
      <c r="C80" s="1" t="s">
        <v>133</v>
      </c>
      <c r="D80" s="1"/>
      <c r="E80" s="13">
        <f>E79*B80/100</f>
        <v>-67823.84000000003</v>
      </c>
      <c r="F80" s="13" t="str">
        <f>IF(Gift,F79*B80/100,"ugift")</f>
        <v>ugift</v>
      </c>
      <c r="I80" s="27" t="s">
        <v>84</v>
      </c>
      <c r="J80" s="27">
        <v>26</v>
      </c>
      <c r="K80" s="27">
        <v>1.4</v>
      </c>
      <c r="L80" s="27">
        <v>1.13</v>
      </c>
      <c r="M80" s="27">
        <v>30.75</v>
      </c>
    </row>
    <row r="81" spans="3:13" ht="12.75">
      <c r="C81" s="18" t="s">
        <v>228</v>
      </c>
      <c r="D81" s="1"/>
      <c r="E81" s="13">
        <f>IF(Gift,MAX(0,E80)+MAX(0,F80),MAX(0,E80))</f>
        <v>0</v>
      </c>
      <c r="I81" s="27" t="s">
        <v>85</v>
      </c>
      <c r="J81" s="27">
        <v>25.5</v>
      </c>
      <c r="K81" s="27">
        <v>0.95</v>
      </c>
      <c r="L81" s="27">
        <v>0.63</v>
      </c>
      <c r="M81" s="27">
        <v>28.26</v>
      </c>
    </row>
    <row r="82" spans="3:13" ht="12.75">
      <c r="C82" s="4" t="s">
        <v>139</v>
      </c>
      <c r="D82" s="13">
        <f>IF(Gift,P14*2,P14)</f>
        <v>41400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s="27" t="s">
        <v>86</v>
      </c>
      <c r="J82" s="27">
        <v>25.7</v>
      </c>
      <c r="K82" s="27">
        <v>0.86</v>
      </c>
      <c r="L82" s="27">
        <v>0.83</v>
      </c>
      <c r="M82" s="27">
        <v>24.66</v>
      </c>
    </row>
    <row r="83" spans="3:13" ht="12.75">
      <c r="C83" s="4" t="s">
        <v>138</v>
      </c>
      <c r="D83" s="1"/>
      <c r="E83" s="13">
        <f>IF(Gift,IF(E79&gt;=F79,(-1)*IF(E38&gt;=P8,0,P8-(E38)),""),(-1)*IF(E38&gt;=P8,0,P8-(E38)))</f>
        <v>-459200</v>
      </c>
      <c r="F83" s="13" t="str">
        <f>IF(Gift,IF(E79&lt;F79,(-1)*IF(F38&gt;=P8,0,P8-(F38)),""),"ugift")</f>
        <v>ugift</v>
      </c>
      <c r="I83" s="27" t="s">
        <v>87</v>
      </c>
      <c r="J83" s="27">
        <v>25.5</v>
      </c>
      <c r="K83" s="27">
        <v>1</v>
      </c>
      <c r="L83" s="27">
        <v>0.63</v>
      </c>
      <c r="M83" s="27">
        <v>20.68</v>
      </c>
    </row>
    <row r="84" spans="3:13" ht="12.75">
      <c r="C84" s="9" t="s">
        <v>132</v>
      </c>
      <c r="D84" s="1"/>
      <c r="E84" s="13">
        <f>IF(Gift,IF(E79&gt;=F79,E82+E83,""),E82+E83)</f>
        <v>-459200</v>
      </c>
      <c r="F84" s="13" t="str">
        <f>IF(Gift,IF(E79&lt;F79,F82+F83,""),"ugift")</f>
        <v>ugift</v>
      </c>
      <c r="I84" s="27" t="s">
        <v>88</v>
      </c>
      <c r="J84" s="27">
        <v>24.7</v>
      </c>
      <c r="K84" s="27">
        <v>0.96</v>
      </c>
      <c r="L84" s="27">
        <v>0</v>
      </c>
      <c r="M84" s="27">
        <v>25.3</v>
      </c>
    </row>
    <row r="85" spans="2:13" ht="12.75">
      <c r="B85" s="1">
        <f>IF((E13+P6+P5+P7)&gt;P10,P7-(E13+P6+P5+P7-P10),P7)</f>
        <v>4.82</v>
      </c>
      <c r="C85" s="4" t="s">
        <v>133</v>
      </c>
      <c r="D85" s="1"/>
      <c r="E85" s="13">
        <f>IF(Gift,IF(E79&gt;=F79,E84*B85/100,""),E84*B85/100)</f>
        <v>-22133.44</v>
      </c>
      <c r="F85" s="13" t="str">
        <f>IF(Gift,IF(E79&lt;F79,F84*B85/100,""),"ugift")</f>
        <v>ugift</v>
      </c>
      <c r="I85" s="27" t="s">
        <v>89</v>
      </c>
      <c r="J85" s="27">
        <v>24.6</v>
      </c>
      <c r="K85" s="27">
        <v>0.82</v>
      </c>
      <c r="L85" s="27">
        <v>0</v>
      </c>
      <c r="M85" s="27">
        <v>21.17</v>
      </c>
    </row>
    <row r="86" spans="3:13" ht="12.75">
      <c r="C86" s="18" t="s">
        <v>140</v>
      </c>
      <c r="D86" s="1"/>
      <c r="E86" s="13">
        <f>IF(Gift,IF(E79&gt;=F79,MAX(0,E85),MAX(0,F85)),MAX(0,E85))</f>
        <v>0</v>
      </c>
      <c r="I86" s="27" t="s">
        <v>90</v>
      </c>
      <c r="J86" s="27">
        <v>26.4</v>
      </c>
      <c r="K86" s="27">
        <v>0.95</v>
      </c>
      <c r="L86" s="27">
        <v>1.53</v>
      </c>
      <c r="M86" s="27">
        <v>25.74</v>
      </c>
    </row>
    <row r="87" spans="3:13" ht="12.75">
      <c r="C87" s="1" t="s">
        <v>136</v>
      </c>
      <c r="D87" s="1"/>
      <c r="E87" s="13">
        <f>E81+E86</f>
        <v>0</v>
      </c>
      <c r="I87" s="27" t="s">
        <v>91</v>
      </c>
      <c r="J87" s="27">
        <v>25</v>
      </c>
      <c r="K87" s="27">
        <v>1.1</v>
      </c>
      <c r="L87" s="27">
        <v>0.13</v>
      </c>
      <c r="M87" s="27">
        <v>21.52</v>
      </c>
    </row>
    <row r="88" spans="3:13" ht="12.75">
      <c r="C88" s="16"/>
      <c r="D88" s="16"/>
      <c r="E88" s="17"/>
      <c r="I88" s="27" t="s">
        <v>92</v>
      </c>
      <c r="J88" s="27">
        <v>24.9</v>
      </c>
      <c r="K88" s="27">
        <v>1.2</v>
      </c>
      <c r="L88" s="27">
        <v>0.03</v>
      </c>
      <c r="M88" s="27">
        <v>22.9</v>
      </c>
    </row>
    <row r="89" spans="3:13" ht="12.75">
      <c r="C89" s="75" t="s">
        <v>230</v>
      </c>
      <c r="D89" s="78"/>
      <c r="E89" s="78"/>
      <c r="F89" s="79"/>
      <c r="I89" s="27" t="s">
        <v>93</v>
      </c>
      <c r="J89" s="27">
        <v>26.8</v>
      </c>
      <c r="K89" s="27">
        <v>1.05</v>
      </c>
      <c r="L89" s="27">
        <v>1.93</v>
      </c>
      <c r="M89" s="27">
        <v>23.32</v>
      </c>
    </row>
    <row r="90" spans="3:13" ht="12.75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s="27" t="s">
        <v>94</v>
      </c>
      <c r="J90" s="27">
        <v>25.9</v>
      </c>
      <c r="K90" s="27">
        <v>1</v>
      </c>
      <c r="L90" s="27">
        <v>1.03</v>
      </c>
      <c r="M90" s="27">
        <v>33.8</v>
      </c>
    </row>
    <row r="91" spans="3:13" ht="12.75">
      <c r="C91" s="53" t="s">
        <v>232</v>
      </c>
      <c r="D91" s="10"/>
      <c r="E91" s="13">
        <f>P28</f>
        <v>374800</v>
      </c>
      <c r="F91" s="13" t="str">
        <f>IF(Gift,P28,"ugift")</f>
        <v>ugift</v>
      </c>
      <c r="I91" s="27" t="s">
        <v>95</v>
      </c>
      <c r="J91" s="27">
        <v>25.7</v>
      </c>
      <c r="K91" s="27">
        <v>0.93</v>
      </c>
      <c r="L91" s="27">
        <v>0.83</v>
      </c>
      <c r="M91" s="27">
        <v>27.1</v>
      </c>
    </row>
    <row r="92" spans="3:13" ht="12.75">
      <c r="C92" s="53" t="s">
        <v>240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s="27" t="s">
        <v>96</v>
      </c>
      <c r="J92" s="27">
        <v>25.5</v>
      </c>
      <c r="K92" s="27">
        <v>1.28</v>
      </c>
      <c r="L92" s="27">
        <v>0.63</v>
      </c>
      <c r="M92" s="27">
        <v>23.75</v>
      </c>
    </row>
    <row r="93" spans="3:13" ht="12.75">
      <c r="C93" s="59" t="s">
        <v>132</v>
      </c>
      <c r="D93" s="1"/>
      <c r="E93" s="13">
        <f>E90-(E91+E92)</f>
        <v>-374800</v>
      </c>
      <c r="F93" s="13" t="str">
        <f>IF(Gift,F90-(F91+F92),"ugift")</f>
        <v>ugift</v>
      </c>
      <c r="I93" s="27" t="s">
        <v>97</v>
      </c>
      <c r="J93" s="27">
        <v>25.3</v>
      </c>
      <c r="K93" s="27">
        <v>1.18</v>
      </c>
      <c r="L93" s="27">
        <v>0.43</v>
      </c>
      <c r="M93" s="27">
        <v>21.24</v>
      </c>
    </row>
    <row r="94" spans="2:13" ht="12.75">
      <c r="B94" s="1">
        <f>P29</f>
        <v>5</v>
      </c>
      <c r="C94" s="1" t="s">
        <v>133</v>
      </c>
      <c r="D94" s="1"/>
      <c r="E94" s="13">
        <f>E93*B94/100</f>
        <v>-18740</v>
      </c>
      <c r="F94" s="13" t="str">
        <f>IF(Gift,F93*B94/100,"ugift")</f>
        <v>ugift</v>
      </c>
      <c r="I94" s="27" t="s">
        <v>98</v>
      </c>
      <c r="J94" s="27">
        <v>23.3</v>
      </c>
      <c r="K94" s="27">
        <v>0.61</v>
      </c>
      <c r="L94" s="27">
        <v>0</v>
      </c>
      <c r="M94" s="27">
        <v>24</v>
      </c>
    </row>
    <row r="95" spans="3:13" ht="12.75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s="27" t="s">
        <v>99</v>
      </c>
      <c r="J95" s="27">
        <v>25.1</v>
      </c>
      <c r="K95" s="27">
        <v>0.68</v>
      </c>
      <c r="L95" s="27">
        <v>0.23</v>
      </c>
      <c r="M95" s="27">
        <v>24.38</v>
      </c>
    </row>
    <row r="96" spans="3:13" ht="12.75">
      <c r="C96" s="53" t="s">
        <v>136</v>
      </c>
      <c r="D96" s="1"/>
      <c r="E96" s="13">
        <f>IF(Gift,E95+F95,E95)</f>
        <v>0</v>
      </c>
      <c r="I96" s="27" t="s">
        <v>100</v>
      </c>
      <c r="J96" s="27">
        <v>25.1</v>
      </c>
      <c r="K96" s="27">
        <v>1.01</v>
      </c>
      <c r="L96" s="27">
        <v>0.23</v>
      </c>
      <c r="M96" s="27">
        <v>31.56</v>
      </c>
    </row>
    <row r="97" spans="3:13" ht="12.75">
      <c r="C97" s="16"/>
      <c r="D97" s="16"/>
      <c r="E97" s="17"/>
      <c r="I97" s="27" t="s">
        <v>101</v>
      </c>
      <c r="J97" s="27">
        <v>25.2</v>
      </c>
      <c r="K97" s="27">
        <v>1.06</v>
      </c>
      <c r="L97" s="27">
        <v>0.33</v>
      </c>
      <c r="M97" s="27">
        <v>20.36</v>
      </c>
    </row>
    <row r="98" spans="2:13" ht="12.75">
      <c r="B98" s="17"/>
      <c r="C98" s="72" t="s">
        <v>149</v>
      </c>
      <c r="D98" s="73"/>
      <c r="E98" s="73"/>
      <c r="F98" s="74"/>
      <c r="I98" s="27" t="s">
        <v>102</v>
      </c>
      <c r="J98" s="27">
        <v>23.4</v>
      </c>
      <c r="K98" s="27">
        <v>0.9</v>
      </c>
      <c r="L98" s="27">
        <v>0</v>
      </c>
      <c r="M98" s="27">
        <v>27.75</v>
      </c>
    </row>
    <row r="99" spans="2:13" ht="12.75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s="27" t="s">
        <v>103</v>
      </c>
      <c r="J99" s="27">
        <v>27</v>
      </c>
      <c r="K99" s="27">
        <v>1.18</v>
      </c>
      <c r="L99" s="27">
        <v>2.13</v>
      </c>
      <c r="M99" s="27">
        <v>22.82</v>
      </c>
    </row>
    <row r="100" spans="2:13" ht="12.75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s="27" t="s">
        <v>104</v>
      </c>
      <c r="J100" s="27">
        <v>25.7</v>
      </c>
      <c r="K100" s="27">
        <v>0.93</v>
      </c>
      <c r="L100" s="27">
        <v>0.83</v>
      </c>
      <c r="M100" s="27">
        <v>23.7</v>
      </c>
    </row>
    <row r="101" spans="2:13" ht="12.75">
      <c r="B101" s="13">
        <f>P15</f>
        <v>27</v>
      </c>
      <c r="C101" s="1" t="s">
        <v>150</v>
      </c>
      <c r="D101" s="13">
        <f>IF(Gift,P17*2,P17)</f>
        <v>49900</v>
      </c>
      <c r="E101" s="13">
        <f>IF(B100*E100&lt;=D101,E100*B101/100,B100*D101*B101/100)</f>
        <v>0</v>
      </c>
      <c r="I101" s="27" t="s">
        <v>105</v>
      </c>
      <c r="J101" s="27">
        <v>25.2</v>
      </c>
      <c r="K101" s="27">
        <v>1.02</v>
      </c>
      <c r="L101" s="27">
        <v>0.33</v>
      </c>
      <c r="M101" s="27">
        <v>32.32</v>
      </c>
    </row>
    <row r="102" spans="2:13" ht="12.75">
      <c r="B102" s="13">
        <f>P16</f>
        <v>42</v>
      </c>
      <c r="C102" s="1" t="s">
        <v>151</v>
      </c>
      <c r="D102" s="13">
        <f>IF(Gift,P17*2,P17)</f>
        <v>49900</v>
      </c>
      <c r="E102" s="13">
        <f>IF(B100*E100&gt;D102,B100*(B100*E100-D102)*B102/100,0)</f>
        <v>0</v>
      </c>
      <c r="I102" s="27" t="s">
        <v>106</v>
      </c>
      <c r="J102" s="27">
        <v>26.1</v>
      </c>
      <c r="K102" s="27">
        <v>1.08</v>
      </c>
      <c r="L102" s="27">
        <v>1.23</v>
      </c>
      <c r="M102" s="27">
        <v>30</v>
      </c>
    </row>
    <row r="103" spans="3:13" ht="12.75">
      <c r="C103" s="1" t="s">
        <v>136</v>
      </c>
      <c r="D103" s="1"/>
      <c r="E103" s="13">
        <f>SUM(E101:E102)</f>
        <v>0</v>
      </c>
      <c r="F103" s="16"/>
      <c r="I103" s="27" t="s">
        <v>107</v>
      </c>
      <c r="J103" s="27">
        <v>25.6</v>
      </c>
      <c r="K103" s="27">
        <v>0.95</v>
      </c>
      <c r="L103" s="27">
        <v>0.73</v>
      </c>
      <c r="M103" s="27">
        <v>18.9</v>
      </c>
    </row>
    <row r="104" spans="6:13" ht="12.75">
      <c r="F104" s="17"/>
      <c r="I104" s="27" t="s">
        <v>108</v>
      </c>
      <c r="J104" s="27">
        <v>25.4</v>
      </c>
      <c r="K104" s="27">
        <v>0.98</v>
      </c>
      <c r="L104" s="27">
        <v>0.53</v>
      </c>
      <c r="M104" s="27">
        <v>26.95</v>
      </c>
    </row>
    <row r="105" spans="2:13" ht="12.75">
      <c r="B105" s="16"/>
      <c r="C105" s="72" t="s">
        <v>152</v>
      </c>
      <c r="D105" s="73"/>
      <c r="E105" s="73"/>
      <c r="F105" s="74"/>
      <c r="I105" s="27" t="s">
        <v>194</v>
      </c>
      <c r="J105" s="27">
        <v>24.4</v>
      </c>
      <c r="K105" s="27">
        <v>0.75</v>
      </c>
      <c r="L105" s="27">
        <v>0</v>
      </c>
      <c r="M105" s="27">
        <v>24.58</v>
      </c>
    </row>
    <row r="106" spans="3:13" ht="12.75">
      <c r="C106" s="4" t="s">
        <v>202</v>
      </c>
      <c r="D106" s="1"/>
      <c r="E106" s="13">
        <f>E31</f>
        <v>0</v>
      </c>
      <c r="F106" s="13" t="str">
        <f>IF(Gift,F31,"ugift")</f>
        <v>ugift</v>
      </c>
      <c r="I106" t="s">
        <v>108</v>
      </c>
      <c r="J106">
        <v>25.4</v>
      </c>
      <c r="K106">
        <v>0.98</v>
      </c>
      <c r="L106">
        <f>ROUND(MAX(0,J106-24.87),2)</f>
        <v>0.53</v>
      </c>
      <c r="M106">
        <v>26.95</v>
      </c>
    </row>
    <row r="107" spans="3:13" ht="25.5">
      <c r="C107" s="4" t="s">
        <v>224</v>
      </c>
      <c r="D107" s="1"/>
      <c r="E107" s="13">
        <f>MAX(0,E33)</f>
        <v>0</v>
      </c>
      <c r="F107" s="13"/>
      <c r="I107" s="45" t="s">
        <v>194</v>
      </c>
      <c r="J107">
        <v>24.4</v>
      </c>
      <c r="K107">
        <v>0.75</v>
      </c>
      <c r="L107">
        <f>ROUND(MAX(0,J107-24.87),2)</f>
        <v>0</v>
      </c>
      <c r="M107">
        <v>24.58</v>
      </c>
    </row>
    <row r="108" spans="3:6" ht="12.75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13" ht="12.75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  <c r="I109" s="84" t="s">
        <v>254</v>
      </c>
      <c r="J109" s="84"/>
      <c r="K109" s="84"/>
      <c r="L109" s="84"/>
      <c r="M109" s="84"/>
    </row>
    <row r="110" spans="3:5" ht="12.75">
      <c r="C110" s="1" t="s">
        <v>136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196</v>
      </c>
      <c r="D112" s="25"/>
      <c r="E112" s="52"/>
      <c r="F112" s="26"/>
    </row>
    <row r="113" spans="3:6" ht="12.75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132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4</v>
      </c>
      <c r="C115" s="1" t="s">
        <v>133</v>
      </c>
      <c r="D115" s="1"/>
      <c r="E115" s="13">
        <f>E114*B115/100</f>
        <v>0</v>
      </c>
    </row>
    <row r="116" spans="3:5" ht="12.75">
      <c r="C116" s="50" t="s">
        <v>136</v>
      </c>
      <c r="D116" s="50"/>
      <c r="E116" s="51">
        <f>E115</f>
        <v>0</v>
      </c>
    </row>
    <row r="118" spans="3:5" ht="12.75">
      <c r="C118" s="72" t="s">
        <v>243</v>
      </c>
      <c r="D118" s="74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5" t="s">
        <v>189</v>
      </c>
      <c r="D120" s="76"/>
      <c r="E120" s="77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2" t="s">
        <v>143</v>
      </c>
      <c r="D122" s="73"/>
      <c r="E122" s="74"/>
    </row>
    <row r="123" spans="3:5" ht="12.75">
      <c r="C123" s="9" t="s">
        <v>144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147</v>
      </c>
      <c r="D127" s="1"/>
      <c r="E127" s="13">
        <f>SUM(E124:E126)</f>
        <v>0</v>
      </c>
    </row>
    <row r="128" spans="3:5" ht="12.75">
      <c r="C128" s="9" t="s">
        <v>148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154</v>
      </c>
      <c r="D132" s="1"/>
      <c r="E132" s="13">
        <f>SUM(E129:E131)</f>
        <v>0</v>
      </c>
    </row>
    <row r="133" spans="3:6" ht="12.75">
      <c r="C133" s="4" t="s">
        <v>136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186</v>
      </c>
      <c r="D135" s="25"/>
      <c r="E135" s="37"/>
      <c r="F135" s="16"/>
    </row>
    <row r="136" spans="3:6" ht="12.75">
      <c r="C136" s="38" t="s">
        <v>187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178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136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2" t="s">
        <v>185</v>
      </c>
      <c r="D142" s="74"/>
      <c r="E142" s="31">
        <f>E133+E140</f>
        <v>0</v>
      </c>
    </row>
    <row r="144" spans="3:6" ht="12.75">
      <c r="C144" s="75" t="s">
        <v>190</v>
      </c>
      <c r="D144" s="76"/>
      <c r="E144" s="77"/>
      <c r="F144" s="23"/>
    </row>
    <row r="145" spans="3:5" ht="12.75">
      <c r="C145" s="1" t="s">
        <v>183</v>
      </c>
      <c r="D145" s="1"/>
      <c r="E145" s="13">
        <f>E118</f>
        <v>0</v>
      </c>
    </row>
    <row r="146" spans="3:5" ht="12.75">
      <c r="C146" s="1" t="s">
        <v>184</v>
      </c>
      <c r="D146" s="1"/>
      <c r="E146" s="13">
        <f>E142</f>
        <v>0</v>
      </c>
    </row>
    <row r="147" spans="3:5" ht="12.75">
      <c r="C147" s="75" t="s">
        <v>136</v>
      </c>
      <c r="D147" s="77"/>
      <c r="E147" s="31">
        <f>SUM(E145:E146)</f>
        <v>0</v>
      </c>
    </row>
  </sheetData>
  <sheetProtection sheet="1" objects="1" scenarios="1"/>
  <mergeCells count="24">
    <mergeCell ref="I1:M1"/>
    <mergeCell ref="O1:P1"/>
    <mergeCell ref="I109:M109"/>
    <mergeCell ref="C39:F39"/>
    <mergeCell ref="C61:F61"/>
    <mergeCell ref="C56:F56"/>
    <mergeCell ref="C54:D54"/>
    <mergeCell ref="C46:F46"/>
    <mergeCell ref="C2:F2"/>
    <mergeCell ref="C27:F27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C105:F105"/>
    <mergeCell ref="C98:F98"/>
    <mergeCell ref="C76:F76"/>
    <mergeCell ref="C89:F89"/>
  </mergeCells>
  <dataValidations count="3">
    <dataValidation type="list" allowBlank="1" showInputMessage="1" showErrorMessage="1" sqref="E12">
      <formula1>$I$8:$I$105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4"/>
  <rowBreaks count="4" manualBreakCount="4">
    <brk id="26" max="5" man="1"/>
    <brk id="60" max="5" man="1"/>
    <brk id="120" max="5" man="1"/>
    <brk id="144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8">
      <c r="B1" s="93" t="s">
        <v>200</v>
      </c>
      <c r="C1" s="93"/>
      <c r="D1" s="93"/>
      <c r="E1" s="27"/>
      <c r="F1" s="82" t="s">
        <v>160</v>
      </c>
      <c r="G1" s="95"/>
      <c r="I1" s="61" t="s">
        <v>208</v>
      </c>
      <c r="J1" s="61">
        <v>1</v>
      </c>
      <c r="K1" s="62" t="s">
        <v>209</v>
      </c>
    </row>
    <row r="2" spans="2:11" ht="12.75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ht="12.75">
      <c r="B3" s="92" t="s">
        <v>226</v>
      </c>
      <c r="C3" s="92"/>
      <c r="D3" s="92"/>
      <c r="E3" s="27"/>
      <c r="F3" s="60" t="s">
        <v>244</v>
      </c>
      <c r="I3" s="61" t="s">
        <v>206</v>
      </c>
      <c r="J3" s="61">
        <v>3</v>
      </c>
      <c r="K3" s="62" t="s">
        <v>211</v>
      </c>
    </row>
    <row r="4" spans="2:11" ht="12.75">
      <c r="B4" s="92"/>
      <c r="C4" s="92"/>
      <c r="D4" s="92"/>
      <c r="E4" s="27"/>
      <c r="F4" t="s">
        <v>227</v>
      </c>
      <c r="G4">
        <v>2</v>
      </c>
      <c r="I4" s="61"/>
      <c r="J4" s="61"/>
      <c r="K4" s="61"/>
    </row>
    <row r="5" spans="2:11" ht="12.75">
      <c r="B5" s="92"/>
      <c r="C5" s="92"/>
      <c r="D5" s="92"/>
      <c r="E5" s="27"/>
      <c r="I5" s="61" t="s">
        <v>221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 t="s">
        <v>256</v>
      </c>
    </row>
    <row r="7" spans="2:7" ht="12.75">
      <c r="B7" s="1" t="s">
        <v>201</v>
      </c>
      <c r="C7" s="1"/>
      <c r="D7" s="63"/>
      <c r="F7" t="s">
        <v>227</v>
      </c>
      <c r="G7" s="71" t="s">
        <v>257</v>
      </c>
    </row>
    <row r="8" spans="2:4" ht="12.75">
      <c r="B8" s="1" t="s">
        <v>115</v>
      </c>
      <c r="C8" s="63"/>
      <c r="D8" s="1"/>
    </row>
    <row r="9" spans="2:4" ht="12.75">
      <c r="B9" s="1" t="s">
        <v>117</v>
      </c>
      <c r="C9" s="63"/>
      <c r="D9" s="1"/>
    </row>
    <row r="10" spans="2:4" ht="12.75">
      <c r="B10" s="1" t="s">
        <v>213</v>
      </c>
      <c r="C10" s="13">
        <f>C8-C9</f>
        <v>0</v>
      </c>
      <c r="D10" s="13">
        <f>C10</f>
        <v>0</v>
      </c>
    </row>
    <row r="11" spans="2:4" ht="12.75">
      <c r="B11" s="10" t="s">
        <v>204</v>
      </c>
      <c r="C11" s="10"/>
      <c r="D11" s="13">
        <f>D7+D10</f>
        <v>0</v>
      </c>
    </row>
    <row r="13" spans="2:4" ht="12.75">
      <c r="B13" s="1" t="s">
        <v>205</v>
      </c>
      <c r="C13" s="90" t="s">
        <v>208</v>
      </c>
      <c r="D13" s="91"/>
    </row>
    <row r="15" spans="2:4" ht="12.75">
      <c r="B15" s="94" t="str">
        <f>VLOOKUP(C13,I1:K3,3,FALSE)</f>
        <v>Nedenstående skal ikke udfyldes, da beskatning efter alm. personskatteregler:</v>
      </c>
      <c r="C15" s="94"/>
      <c r="D15" s="94"/>
    </row>
    <row r="16" spans="2:4" ht="12.75">
      <c r="B16" s="94"/>
      <c r="C16" s="94"/>
      <c r="D16" s="94"/>
    </row>
    <row r="18" spans="2:4" ht="12.75">
      <c r="B18" s="1" t="s">
        <v>214</v>
      </c>
      <c r="C18" s="1"/>
      <c r="D18" s="63"/>
    </row>
    <row r="19" spans="2:4" ht="12.75">
      <c r="B19" s="1" t="s">
        <v>219</v>
      </c>
      <c r="C19" s="22"/>
      <c r="D19" s="13">
        <f>IF(Skatteordning=2,0,IF(Skatteordning=3,C19,0))</f>
        <v>0</v>
      </c>
    </row>
    <row r="20" spans="2:4" ht="12.75">
      <c r="B20" s="59" t="s">
        <v>215</v>
      </c>
      <c r="C20" s="1"/>
      <c r="D20" s="13">
        <f>D18-D19</f>
        <v>0</v>
      </c>
    </row>
    <row r="21" spans="1:4" ht="12.75">
      <c r="A21" s="1">
        <f>G4</f>
        <v>2</v>
      </c>
      <c r="B21" s="1" t="s">
        <v>216</v>
      </c>
      <c r="C21" s="1"/>
      <c r="D21" s="13">
        <f>D20*(A21/100)</f>
        <v>0</v>
      </c>
    </row>
    <row r="23" spans="2:4" ht="12.75">
      <c r="B23" s="75" t="s">
        <v>207</v>
      </c>
      <c r="C23" s="78"/>
      <c r="D23" s="79"/>
    </row>
    <row r="24" spans="2:4" ht="12.75">
      <c r="B24" s="1" t="s">
        <v>218</v>
      </c>
      <c r="C24" s="1"/>
      <c r="D24" s="13">
        <f>MAX(D7,0)</f>
        <v>0</v>
      </c>
    </row>
    <row r="25" spans="2:4" ht="12.75">
      <c r="B25" s="1" t="s">
        <v>222</v>
      </c>
      <c r="C25" s="13">
        <f>Skatteberegning!E43+Skatteberegning!F43</f>
        <v>0</v>
      </c>
      <c r="D25" s="13"/>
    </row>
    <row r="26" spans="2:4" ht="12.75">
      <c r="B26" s="1" t="s">
        <v>213</v>
      </c>
      <c r="C26" s="13">
        <f>C10</f>
        <v>0</v>
      </c>
      <c r="D26" s="13"/>
    </row>
    <row r="27" spans="2:4" ht="12.75">
      <c r="B27" s="1" t="s">
        <v>197</v>
      </c>
      <c r="C27" s="13">
        <f>C25+C26</f>
        <v>0</v>
      </c>
      <c r="D27" s="1"/>
    </row>
    <row r="28" spans="2:4" ht="12.75">
      <c r="B28" s="1" t="s">
        <v>217</v>
      </c>
      <c r="C28" s="1"/>
      <c r="D28" s="13">
        <f>MAX(0,(-1)*C27)</f>
        <v>0</v>
      </c>
    </row>
    <row r="29" spans="2:4" ht="12.75">
      <c r="B29" s="59" t="s">
        <v>220</v>
      </c>
      <c r="C29" s="1"/>
      <c r="D29" s="13">
        <f>IF(Skatteordning=2,MIN(D21,MAX(D24,D28)),"")</f>
      </c>
    </row>
    <row r="31" spans="2:4" ht="12.75">
      <c r="B31" s="75" t="s">
        <v>206</v>
      </c>
      <c r="C31" s="78"/>
      <c r="D31" s="79"/>
    </row>
    <row r="32" spans="2:4" ht="12.75">
      <c r="B32" s="1" t="s">
        <v>204</v>
      </c>
      <c r="C32" s="1"/>
      <c r="D32" s="13">
        <f>D11</f>
        <v>0</v>
      </c>
    </row>
    <row r="33" spans="2:4" ht="12.75">
      <c r="B33" s="59" t="s">
        <v>220</v>
      </c>
      <c r="C33" s="1"/>
      <c r="D33" s="13">
        <f>IF(Skatteordning=3,MAX(0,MIN(D21,D32)),"")</f>
      </c>
    </row>
    <row r="35" spans="2:4" ht="12.75">
      <c r="B35" s="10" t="s">
        <v>220</v>
      </c>
      <c r="C35" s="1"/>
      <c r="D35" s="13">
        <f>IF(Skatteordning=1,0,IF(Skatteordning=2,D29,IF(Skatteordning=3,D33,0)))</f>
        <v>0</v>
      </c>
    </row>
    <row r="37" spans="2:4" ht="12.75">
      <c r="B37" s="75" t="s">
        <v>111</v>
      </c>
      <c r="C37" s="78"/>
      <c r="D37" s="79"/>
    </row>
    <row r="38" spans="2:4" ht="12.75">
      <c r="B38" s="1" t="s">
        <v>201</v>
      </c>
      <c r="C38" s="1"/>
      <c r="D38" s="13">
        <f>D7</f>
        <v>0</v>
      </c>
    </row>
    <row r="39" spans="2:4" ht="12.75">
      <c r="B39" s="1" t="s">
        <v>213</v>
      </c>
      <c r="C39" s="1"/>
      <c r="D39" s="13">
        <f>IF(Skatteordning=3,C10,0)</f>
        <v>0</v>
      </c>
    </row>
    <row r="40" spans="2:4" ht="12.75">
      <c r="B40" s="1" t="s">
        <v>212</v>
      </c>
      <c r="C40" s="1"/>
      <c r="D40" s="13">
        <f>D35</f>
        <v>0</v>
      </c>
    </row>
    <row r="41" spans="2:4" ht="12.75">
      <c r="B41" s="59" t="s">
        <v>238</v>
      </c>
      <c r="C41" s="59"/>
      <c r="D41" s="58">
        <f>D38+D39-D40</f>
        <v>0</v>
      </c>
    </row>
    <row r="43" spans="2:4" ht="12.75">
      <c r="B43" s="75" t="s">
        <v>114</v>
      </c>
      <c r="C43" s="78"/>
      <c r="D43" s="79"/>
    </row>
    <row r="44" spans="2:4" ht="12.75">
      <c r="B44" s="1" t="s">
        <v>213</v>
      </c>
      <c r="C44" s="1"/>
      <c r="D44" s="13">
        <f>IF(Skatteordning=3,0,C10)</f>
        <v>0</v>
      </c>
    </row>
    <row r="45" spans="2:4" ht="12.75">
      <c r="B45" s="1" t="s">
        <v>212</v>
      </c>
      <c r="C45" s="1"/>
      <c r="D45" s="13">
        <f>D35</f>
        <v>0</v>
      </c>
    </row>
    <row r="46" spans="2:4" ht="12.75">
      <c r="B46" s="59" t="s">
        <v>238</v>
      </c>
      <c r="C46" s="1"/>
      <c r="D46" s="58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258</v>
      </c>
    </row>
    <row r="2" ht="12.75">
      <c r="A2" s="69" t="s">
        <v>235</v>
      </c>
    </row>
    <row r="3" ht="12.75">
      <c r="A3" s="69" t="s">
        <v>236</v>
      </c>
    </row>
    <row r="5" ht="12.75">
      <c r="A5" s="69" t="s">
        <v>259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